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GR-YORLENYEL\Dirección adminsitrativa\Datos abiertos\Ejecución\"/>
    </mc:Choice>
  </mc:AlternateContent>
  <bookViews>
    <workbookView xWindow="0" yWindow="0" windowWidth="19200" windowHeight="10995"/>
  </bookViews>
  <sheets>
    <sheet name="TOTALES" sheetId="2" r:id="rId1"/>
    <sheet name="2016" sheetId="7" r:id="rId2"/>
    <sheet name="2017" sheetId="6" r:id="rId3"/>
    <sheet name="2018" sheetId="5" r:id="rId4"/>
    <sheet name="2019" sheetId="4" r:id="rId5"/>
    <sheet name="2020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7" l="1"/>
  <c r="C5" i="7"/>
  <c r="B5" i="7"/>
  <c r="D6" i="7"/>
  <c r="C6" i="7"/>
  <c r="B6" i="7"/>
  <c r="E6" i="7"/>
  <c r="D7" i="7"/>
  <c r="C7" i="7"/>
  <c r="B7" i="7"/>
  <c r="B4" i="7" s="1"/>
  <c r="B2" i="7" s="1"/>
  <c r="D10" i="7"/>
  <c r="C10" i="7"/>
  <c r="B10" i="7"/>
  <c r="D11" i="7"/>
  <c r="C11" i="7"/>
  <c r="B11" i="7"/>
  <c r="E11" i="7"/>
  <c r="C14" i="6"/>
  <c r="C4" i="6" s="1"/>
  <c r="C2" i="6" s="1"/>
  <c r="B3" i="2" s="1"/>
  <c r="D5" i="6"/>
  <c r="C5" i="6"/>
  <c r="B5" i="6"/>
  <c r="D6" i="6"/>
  <c r="C6" i="6"/>
  <c r="B6" i="6"/>
  <c r="D7" i="6"/>
  <c r="C7" i="6"/>
  <c r="B7" i="6"/>
  <c r="D10" i="6"/>
  <c r="C10" i="6"/>
  <c r="B10" i="6"/>
  <c r="D11" i="6"/>
  <c r="C11" i="6"/>
  <c r="B11" i="6"/>
  <c r="E14" i="6"/>
  <c r="D11" i="5"/>
  <c r="C11" i="5"/>
  <c r="B11" i="5"/>
  <c r="D10" i="5"/>
  <c r="E10" i="5" s="1"/>
  <c r="C10" i="5"/>
  <c r="B10" i="5"/>
  <c r="D7" i="5"/>
  <c r="C7" i="5"/>
  <c r="B7" i="5"/>
  <c r="E7" i="5"/>
  <c r="D6" i="5"/>
  <c r="C6" i="5"/>
  <c r="B6" i="5"/>
  <c r="B5" i="5"/>
  <c r="C5" i="5"/>
  <c r="D5" i="5"/>
  <c r="C5" i="2"/>
  <c r="B5" i="2"/>
  <c r="E5" i="2" s="1"/>
  <c r="F5" i="2" s="1"/>
  <c r="C6" i="2"/>
  <c r="B6" i="2"/>
  <c r="E10" i="7"/>
  <c r="E7" i="7"/>
  <c r="E5" i="7"/>
  <c r="C4" i="7"/>
  <c r="C2" i="7" s="1"/>
  <c r="B2" i="2" s="1"/>
  <c r="D4" i="7"/>
  <c r="E11" i="6"/>
  <c r="E10" i="6"/>
  <c r="E7" i="6"/>
  <c r="E6" i="6"/>
  <c r="E5" i="6"/>
  <c r="D4" i="6"/>
  <c r="D2" i="6" s="1"/>
  <c r="B4" i="6"/>
  <c r="B2" i="6" s="1"/>
  <c r="E11" i="5"/>
  <c r="E6" i="5"/>
  <c r="E5" i="5"/>
  <c r="D4" i="5"/>
  <c r="C4" i="5"/>
  <c r="C2" i="5" s="1"/>
  <c r="B4" i="2" s="1"/>
  <c r="B4" i="5"/>
  <c r="B2" i="5" s="1"/>
  <c r="D11" i="4"/>
  <c r="C11" i="4"/>
  <c r="B11" i="4"/>
  <c r="D10" i="4"/>
  <c r="C10" i="4"/>
  <c r="B10" i="4"/>
  <c r="E10" i="4"/>
  <c r="D7" i="4"/>
  <c r="C7" i="4"/>
  <c r="E7" i="4"/>
  <c r="B7" i="4"/>
  <c r="C6" i="4"/>
  <c r="B6" i="4"/>
  <c r="D6" i="4"/>
  <c r="D5" i="4"/>
  <c r="C5" i="4"/>
  <c r="C4" i="4" s="1"/>
  <c r="B5" i="4"/>
  <c r="E11" i="3"/>
  <c r="E10" i="3"/>
  <c r="E7" i="3"/>
  <c r="E6" i="3"/>
  <c r="E5" i="3"/>
  <c r="D4" i="3"/>
  <c r="E4" i="3" s="1"/>
  <c r="C4" i="3"/>
  <c r="C2" i="3" s="1"/>
  <c r="B4" i="3"/>
  <c r="B2" i="3" s="1"/>
  <c r="E11" i="4"/>
  <c r="E6" i="4"/>
  <c r="D4" i="4"/>
  <c r="D2" i="4" s="1"/>
  <c r="E4" i="7" l="1"/>
  <c r="E2" i="6"/>
  <c r="E4" i="6"/>
  <c r="C3" i="2"/>
  <c r="D3" i="2" s="1"/>
  <c r="E4" i="5"/>
  <c r="D5" i="2"/>
  <c r="D2" i="7"/>
  <c r="D2" i="5"/>
  <c r="B4" i="4"/>
  <c r="B2" i="4" s="1"/>
  <c r="E4" i="4"/>
  <c r="C2" i="4"/>
  <c r="E2" i="4" s="1"/>
  <c r="E5" i="4"/>
  <c r="D2" i="3"/>
  <c r="E2" i="7" l="1"/>
  <c r="C2" i="2"/>
  <c r="E3" i="2"/>
  <c r="F3" i="2" s="1"/>
  <c r="E2" i="5"/>
  <c r="C4" i="2"/>
  <c r="E2" i="3"/>
  <c r="D2" i="2" l="1"/>
  <c r="E2" i="2"/>
  <c r="F2" i="2" s="1"/>
  <c r="E4" i="2"/>
  <c r="F4" i="2" s="1"/>
  <c r="D4" i="2"/>
  <c r="E6" i="2"/>
  <c r="F6" i="2" s="1"/>
  <c r="D6" i="2"/>
</calcChain>
</file>

<file path=xl/sharedStrings.xml><?xml version="1.0" encoding="utf-8"?>
<sst xmlns="http://schemas.openxmlformats.org/spreadsheetml/2006/main" count="131" uniqueCount="25">
  <si>
    <t>Periodo</t>
  </si>
  <si>
    <t>Apropiación 
final</t>
  </si>
  <si>
    <t>Porcentaje</t>
  </si>
  <si>
    <t>Saldo total
disponible</t>
  </si>
  <si>
    <t>Presupuesto total
ejecutado</t>
  </si>
  <si>
    <t>Partida</t>
  </si>
  <si>
    <t>Nivel de ejecución</t>
  </si>
  <si>
    <t>TOTAL</t>
  </si>
  <si>
    <t>-</t>
  </si>
  <si>
    <t>SUBTOTAL</t>
  </si>
  <si>
    <t>Remuneraciones</t>
  </si>
  <si>
    <t>Servicios</t>
  </si>
  <si>
    <t xml:space="preserve">Materiales </t>
  </si>
  <si>
    <t>Intereses</t>
  </si>
  <si>
    <t>Activos financieros</t>
  </si>
  <si>
    <t>Bienes duraderos</t>
  </si>
  <si>
    <t>Transferencias corrientes</t>
  </si>
  <si>
    <t>Transferencias de capital</t>
  </si>
  <si>
    <t>Amortización</t>
  </si>
  <si>
    <t>Cuentas especiales</t>
  </si>
  <si>
    <t>*** Datos en millones de colones</t>
  </si>
  <si>
    <r>
      <t>Presupuesto inicial</t>
    </r>
    <r>
      <rPr>
        <b/>
        <sz val="10"/>
        <color rgb="FFFFFFFF"/>
        <rFont val="Arial"/>
        <family val="2"/>
      </rPr>
      <t xml:space="preserve"> </t>
    </r>
  </si>
  <si>
    <r>
      <t>Presupuesto</t>
    </r>
    <r>
      <rPr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 xml:space="preserve">final </t>
    </r>
  </si>
  <si>
    <r>
      <t>Presupuesto</t>
    </r>
    <r>
      <rPr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ejecutado</t>
    </r>
    <r>
      <rPr>
        <b/>
        <sz val="10"/>
        <color rgb="FFFFFFFF"/>
        <rFont val="Arial"/>
        <family val="2"/>
      </rPr>
      <t xml:space="preserve"> </t>
    </r>
  </si>
  <si>
    <t>Recursos externos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</si>
</sst>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BACC6"/>
      </left>
      <right/>
      <top style="medium">
        <color rgb="FF4BACC6"/>
      </top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/>
      <diagonal/>
    </border>
    <border>
      <left/>
      <right/>
      <top style="medium">
        <color rgb="FF4BACC6"/>
      </top>
      <bottom/>
      <diagonal/>
    </border>
    <border>
      <left/>
      <right style="medium">
        <color rgb="FF4BACC6"/>
      </right>
      <top style="medium">
        <color rgb="FF4BACC6"/>
      </top>
      <bottom/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/>
      <top/>
      <bottom/>
      <diagonal/>
    </border>
    <border>
      <left style="medium">
        <color rgb="FF4BACC6"/>
      </left>
      <right style="medium">
        <color rgb="FF4BACC6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164" fontId="0" fillId="0" borderId="1" xfId="1" applyFont="1" applyBorder="1"/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164" fontId="5" fillId="0" borderId="7" xfId="1" applyFont="1" applyBorder="1" applyAlignment="1">
      <alignment vertical="center"/>
    </xf>
    <xf numFmtId="9" fontId="5" fillId="0" borderId="7" xfId="2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4" fontId="6" fillId="0" borderId="9" xfId="1" applyFont="1" applyBorder="1" applyAlignment="1">
      <alignment vertical="center"/>
    </xf>
    <xf numFmtId="9" fontId="6" fillId="0" borderId="9" xfId="2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4" fontId="8" fillId="0" borderId="9" xfId="1" applyFont="1" applyBorder="1" applyAlignment="1">
      <alignment vertical="top"/>
    </xf>
    <xf numFmtId="0" fontId="7" fillId="0" borderId="6" xfId="0" applyFont="1" applyBorder="1" applyAlignment="1">
      <alignment vertical="center"/>
    </xf>
    <xf numFmtId="164" fontId="8" fillId="0" borderId="7" xfId="1" applyFont="1" applyBorder="1" applyAlignment="1">
      <alignment vertical="top"/>
    </xf>
    <xf numFmtId="9" fontId="8" fillId="0" borderId="7" xfId="2" applyFont="1" applyBorder="1" applyAlignment="1">
      <alignment horizontal="center" vertical="top"/>
    </xf>
    <xf numFmtId="9" fontId="8" fillId="0" borderId="9" xfId="2" applyFont="1" applyBorder="1" applyAlignment="1">
      <alignment horizontal="center" vertical="top"/>
    </xf>
    <xf numFmtId="164" fontId="7" fillId="0" borderId="7" xfId="1" applyFont="1" applyBorder="1" applyAlignment="1">
      <alignment vertical="center"/>
    </xf>
    <xf numFmtId="9" fontId="7" fillId="0" borderId="7" xfId="2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6" fillId="0" borderId="7" xfId="2" applyFont="1" applyBorder="1" applyAlignment="1">
      <alignment vertical="center"/>
    </xf>
    <xf numFmtId="164" fontId="8" fillId="0" borderId="7" xfId="1" applyFont="1" applyBorder="1" applyAlignment="1">
      <alignment vertical="top" wrapText="1"/>
    </xf>
    <xf numFmtId="164" fontId="8" fillId="0" borderId="9" xfId="1" applyFont="1" applyBorder="1" applyAlignment="1">
      <alignment vertical="top" wrapText="1"/>
    </xf>
    <xf numFmtId="9" fontId="5" fillId="0" borderId="7" xfId="2" applyNumberFormat="1" applyFont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baseColWidth="10" defaultRowHeight="15" x14ac:dyDescent="0.25"/>
  <cols>
    <col min="2" max="3" width="15.140625" customWidth="1"/>
    <col min="4" max="4" width="11.5703125" bestFit="1" customWidth="1"/>
    <col min="5" max="5" width="15.140625" customWidth="1"/>
    <col min="6" max="6" width="11.5703125" bestFit="1" customWidth="1"/>
    <col min="7" max="7" width="2.7109375" customWidth="1"/>
  </cols>
  <sheetData>
    <row r="1" spans="1:6" ht="45" x14ac:dyDescent="0.25">
      <c r="A1" s="24" t="s">
        <v>0</v>
      </c>
      <c r="B1" s="25" t="s">
        <v>1</v>
      </c>
      <c r="C1" s="25" t="s">
        <v>4</v>
      </c>
      <c r="D1" s="24" t="s">
        <v>2</v>
      </c>
      <c r="E1" s="25" t="s">
        <v>3</v>
      </c>
      <c r="F1" s="24" t="s">
        <v>2</v>
      </c>
    </row>
    <row r="2" spans="1:6" x14ac:dyDescent="0.25">
      <c r="A2" s="2">
        <v>2016</v>
      </c>
      <c r="B2" s="1">
        <f>+'2016'!$C$2</f>
        <v>9124.1659280000022</v>
      </c>
      <c r="C2" s="1">
        <f>+'2016'!$D$2</f>
        <v>8638.9935737000014</v>
      </c>
      <c r="D2" s="3">
        <f t="shared" ref="D2:D5" si="0">C2/B2</f>
        <v>0.94682556650892147</v>
      </c>
      <c r="E2" s="1">
        <f t="shared" ref="E2:E5" si="1">B2-C2</f>
        <v>485.17235430000073</v>
      </c>
      <c r="F2" s="3">
        <f t="shared" ref="F2:F5" si="2">E2/B2</f>
        <v>5.3174433491078511E-2</v>
      </c>
    </row>
    <row r="3" spans="1:6" x14ac:dyDescent="0.25">
      <c r="A3" s="2">
        <v>2017</v>
      </c>
      <c r="B3" s="1">
        <f>+'2017'!$C$2</f>
        <v>10084.688284999998</v>
      </c>
      <c r="C3" s="1">
        <f>+'2017'!$D$2</f>
        <v>8731.0899793500012</v>
      </c>
      <c r="D3" s="3">
        <f t="shared" si="0"/>
        <v>0.86577688200206004</v>
      </c>
      <c r="E3" s="1">
        <f t="shared" si="1"/>
        <v>1353.5983056499972</v>
      </c>
      <c r="F3" s="3">
        <f t="shared" si="2"/>
        <v>0.13422311799793993</v>
      </c>
    </row>
    <row r="4" spans="1:6" x14ac:dyDescent="0.25">
      <c r="A4" s="2">
        <v>2018</v>
      </c>
      <c r="B4" s="1">
        <f>+'2018'!$C$2</f>
        <v>10740.968852</v>
      </c>
      <c r="C4" s="1">
        <f>+'2018'!$D$2</f>
        <v>9842.7109436600003</v>
      </c>
      <c r="D4" s="3">
        <f t="shared" si="0"/>
        <v>0.91637086740338691</v>
      </c>
      <c r="E4" s="1">
        <f t="shared" si="1"/>
        <v>898.25790833999963</v>
      </c>
      <c r="F4" s="3">
        <f t="shared" si="2"/>
        <v>8.3629132596613143E-2</v>
      </c>
    </row>
    <row r="5" spans="1:6" x14ac:dyDescent="0.25">
      <c r="A5" s="2">
        <v>2019</v>
      </c>
      <c r="B5" s="1">
        <f>+'2019'!$C$2</f>
        <v>10239.295588200001</v>
      </c>
      <c r="C5" s="1">
        <f>+'2019'!$D$2</f>
        <v>9338.3435419099987</v>
      </c>
      <c r="D5" s="3">
        <f t="shared" si="0"/>
        <v>0.912010348902489</v>
      </c>
      <c r="E5" s="1">
        <f t="shared" si="1"/>
        <v>900.95204629000182</v>
      </c>
      <c r="F5" s="3">
        <f t="shared" si="2"/>
        <v>8.7989651097511015E-2</v>
      </c>
    </row>
    <row r="6" spans="1:6" x14ac:dyDescent="0.25">
      <c r="A6" s="2">
        <v>2020</v>
      </c>
      <c r="B6" s="1">
        <f>+'2020'!$C$2</f>
        <v>11335.094083</v>
      </c>
      <c r="C6" s="1">
        <f>+'2020'!$D$2</f>
        <v>10481.43877379</v>
      </c>
      <c r="D6" s="3">
        <f t="shared" ref="D2:D8" si="3">C6/B6</f>
        <v>0.92468917302677844</v>
      </c>
      <c r="E6" s="1">
        <f t="shared" ref="E2:E8" si="4">B6-C6</f>
        <v>853.65530921000027</v>
      </c>
      <c r="F6" s="3">
        <f t="shared" ref="F2:F8" si="5">E6/B6</f>
        <v>7.5310826973221542E-2</v>
      </c>
    </row>
    <row r="7" spans="1:6" x14ac:dyDescent="0.25">
      <c r="A7" s="2"/>
      <c r="B7" s="1"/>
      <c r="C7" s="1"/>
      <c r="D7" s="3"/>
      <c r="E7" s="1"/>
      <c r="F7" s="3"/>
    </row>
    <row r="8" spans="1:6" x14ac:dyDescent="0.25">
      <c r="A8" s="2"/>
      <c r="B8" s="1"/>
      <c r="C8" s="1"/>
      <c r="D8" s="3"/>
      <c r="E8" s="1"/>
      <c r="F8" s="3"/>
    </row>
    <row r="10" spans="1:6" x14ac:dyDescent="0.25">
      <c r="A10" s="4" t="s">
        <v>20</v>
      </c>
      <c r="B10" s="4"/>
      <c r="C10" s="4"/>
      <c r="D10" s="4"/>
      <c r="E10" s="4"/>
      <c r="F10" s="4"/>
    </row>
  </sheetData>
  <mergeCells count="1">
    <mergeCell ref="A10:F1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5" sqref="D15"/>
    </sheetView>
  </sheetViews>
  <sheetFormatPr baseColWidth="10" defaultRowHeight="15" x14ac:dyDescent="0.25"/>
  <cols>
    <col min="1" max="1" width="22" bestFit="1" customWidth="1"/>
    <col min="2" max="4" width="13.42578125" customWidth="1"/>
  </cols>
  <sheetData>
    <row r="1" spans="1:5" ht="26.25" thickBot="1" x14ac:dyDescent="0.3">
      <c r="A1" s="5" t="s">
        <v>5</v>
      </c>
      <c r="B1" s="6" t="s">
        <v>21</v>
      </c>
      <c r="C1" s="7" t="s">
        <v>22</v>
      </c>
      <c r="D1" s="6" t="s">
        <v>23</v>
      </c>
      <c r="E1" s="8" t="s">
        <v>6</v>
      </c>
    </row>
    <row r="2" spans="1:5" ht="15.75" thickBot="1" x14ac:dyDescent="0.3">
      <c r="A2" s="9" t="s">
        <v>7</v>
      </c>
      <c r="B2" s="10">
        <f>+B3+B4</f>
        <v>9598.02</v>
      </c>
      <c r="C2" s="10">
        <f t="shared" ref="C2:D2" si="0">+C3+C4</f>
        <v>9124.1659280000022</v>
      </c>
      <c r="D2" s="10">
        <f t="shared" si="0"/>
        <v>8638.9935737000014</v>
      </c>
      <c r="E2" s="11">
        <f>+D2/C2</f>
        <v>0.94682556650892147</v>
      </c>
    </row>
    <row r="3" spans="1:5" ht="15.75" thickBot="1" x14ac:dyDescent="0.3">
      <c r="A3" s="12" t="s">
        <v>24</v>
      </c>
      <c r="B3" s="13">
        <v>0</v>
      </c>
      <c r="C3" s="13">
        <v>0</v>
      </c>
      <c r="D3" s="13">
        <v>0</v>
      </c>
      <c r="E3" s="14" t="s">
        <v>8</v>
      </c>
    </row>
    <row r="4" spans="1:5" ht="15.75" thickBot="1" x14ac:dyDescent="0.3">
      <c r="A4" s="9" t="s">
        <v>9</v>
      </c>
      <c r="B4" s="10">
        <f>+B5+B6+B7+B8+B9+B10+B11+B12+B13+B14</f>
        <v>9598.02</v>
      </c>
      <c r="C4" s="10">
        <f t="shared" ref="C4:D4" si="1">+C5+C6+C7+C8+C9+C10+C11+C12+C13+C14</f>
        <v>9124.1659280000022</v>
      </c>
      <c r="D4" s="10">
        <f t="shared" si="1"/>
        <v>8638.9935737000014</v>
      </c>
      <c r="E4" s="11">
        <f>+D4/C4</f>
        <v>0.94682556650892147</v>
      </c>
    </row>
    <row r="5" spans="1:5" ht="15.75" thickBot="1" x14ac:dyDescent="0.3">
      <c r="A5" s="15" t="s">
        <v>10</v>
      </c>
      <c r="B5" s="16">
        <f>8177518000/1000000</f>
        <v>8177.518</v>
      </c>
      <c r="C5" s="16">
        <f>7666862928/1000000</f>
        <v>7666.8629279999996</v>
      </c>
      <c r="D5" s="16">
        <f>7353217680.31/1000000</f>
        <v>7353.2176803100001</v>
      </c>
      <c r="E5" s="26">
        <f>+D5/C5</f>
        <v>0.95909079754842863</v>
      </c>
    </row>
    <row r="6" spans="1:5" ht="15.75" thickBot="1" x14ac:dyDescent="0.3">
      <c r="A6" s="17" t="s">
        <v>11</v>
      </c>
      <c r="B6" s="18">
        <f>959458000/1000000</f>
        <v>959.45799999999997</v>
      </c>
      <c r="C6" s="18">
        <f>902133000/1000000</f>
        <v>902.13300000000004</v>
      </c>
      <c r="D6" s="18">
        <f>763090745.72/1000000</f>
        <v>763.09074571999997</v>
      </c>
      <c r="E6" s="26">
        <f t="shared" ref="E6:E7" si="2">+D6/C6</f>
        <v>0.84587388524751883</v>
      </c>
    </row>
    <row r="7" spans="1:5" ht="15.75" thickBot="1" x14ac:dyDescent="0.3">
      <c r="A7" s="15" t="s">
        <v>12</v>
      </c>
      <c r="B7" s="28">
        <f>71552000/1000000</f>
        <v>71.552000000000007</v>
      </c>
      <c r="C7" s="16">
        <f>77753000/1000000</f>
        <v>77.753</v>
      </c>
      <c r="D7" s="28">
        <f>68684355.77/1000000</f>
        <v>68.684355769999996</v>
      </c>
      <c r="E7" s="26">
        <f t="shared" si="2"/>
        <v>0.88336598935089317</v>
      </c>
    </row>
    <row r="8" spans="1:5" ht="15.75" thickBot="1" x14ac:dyDescent="0.3">
      <c r="A8" s="17" t="s">
        <v>13</v>
      </c>
      <c r="B8" s="18">
        <v>0</v>
      </c>
      <c r="C8" s="18">
        <v>0</v>
      </c>
      <c r="D8" s="18">
        <v>0</v>
      </c>
      <c r="E8" s="19" t="s">
        <v>8</v>
      </c>
    </row>
    <row r="9" spans="1:5" ht="15.75" thickBot="1" x14ac:dyDescent="0.3">
      <c r="A9" s="15" t="s">
        <v>14</v>
      </c>
      <c r="B9" s="16">
        <v>0</v>
      </c>
      <c r="C9" s="16">
        <v>0</v>
      </c>
      <c r="D9" s="16">
        <v>0</v>
      </c>
      <c r="E9" s="20" t="s">
        <v>8</v>
      </c>
    </row>
    <row r="10" spans="1:5" ht="15.75" thickBot="1" x14ac:dyDescent="0.3">
      <c r="A10" s="17" t="s">
        <v>15</v>
      </c>
      <c r="B10" s="27">
        <f>223602000/1000000</f>
        <v>223.602</v>
      </c>
      <c r="C10" s="27">
        <f>282726000/1000000</f>
        <v>282.726</v>
      </c>
      <c r="D10" s="18">
        <f>269278922.77/1000000</f>
        <v>269.27892277000001</v>
      </c>
      <c r="E10" s="26">
        <f t="shared" ref="E10:E11" si="3">+D10/C10</f>
        <v>0.95243777639835037</v>
      </c>
    </row>
    <row r="11" spans="1:5" ht="15.75" thickBot="1" x14ac:dyDescent="0.3">
      <c r="A11" s="15" t="s">
        <v>16</v>
      </c>
      <c r="B11" s="28">
        <f>165890000/1000000</f>
        <v>165.89</v>
      </c>
      <c r="C11" s="28">
        <f>194691000/1000000</f>
        <v>194.691</v>
      </c>
      <c r="D11" s="28">
        <f>184721869.13/1000000</f>
        <v>184.72186912999999</v>
      </c>
      <c r="E11" s="26">
        <f t="shared" si="3"/>
        <v>0.94879511189525956</v>
      </c>
    </row>
    <row r="12" spans="1:5" ht="15.75" thickBot="1" x14ac:dyDescent="0.3">
      <c r="A12" s="17" t="s">
        <v>17</v>
      </c>
      <c r="B12" s="18">
        <v>0</v>
      </c>
      <c r="C12" s="18">
        <v>0</v>
      </c>
      <c r="D12" s="18">
        <v>0</v>
      </c>
      <c r="E12" s="19" t="s">
        <v>8</v>
      </c>
    </row>
    <row r="13" spans="1:5" ht="15.75" thickBot="1" x14ac:dyDescent="0.3">
      <c r="A13" s="15" t="s">
        <v>18</v>
      </c>
      <c r="B13" s="16">
        <v>0</v>
      </c>
      <c r="C13" s="16">
        <v>0</v>
      </c>
      <c r="D13" s="16">
        <v>0</v>
      </c>
      <c r="E13" s="20" t="s">
        <v>8</v>
      </c>
    </row>
    <row r="14" spans="1:5" ht="15.75" thickBot="1" x14ac:dyDescent="0.3">
      <c r="A14" s="17" t="s">
        <v>19</v>
      </c>
      <c r="B14" s="21">
        <v>0</v>
      </c>
      <c r="C14" s="21">
        <v>0</v>
      </c>
      <c r="D14" s="21">
        <v>0</v>
      </c>
      <c r="E14" s="22" t="s">
        <v>8</v>
      </c>
    </row>
    <row r="16" spans="1:5" x14ac:dyDescent="0.25">
      <c r="A16" s="23" t="s">
        <v>20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7" sqref="D17"/>
    </sheetView>
  </sheetViews>
  <sheetFormatPr baseColWidth="10" defaultRowHeight="15" x14ac:dyDescent="0.25"/>
  <cols>
    <col min="1" max="1" width="22" bestFit="1" customWidth="1"/>
    <col min="2" max="4" width="13.42578125" customWidth="1"/>
  </cols>
  <sheetData>
    <row r="1" spans="1:5" ht="26.25" thickBot="1" x14ac:dyDescent="0.3">
      <c r="A1" s="5" t="s">
        <v>5</v>
      </c>
      <c r="B1" s="6" t="s">
        <v>21</v>
      </c>
      <c r="C1" s="7" t="s">
        <v>22</v>
      </c>
      <c r="D1" s="6" t="s">
        <v>23</v>
      </c>
      <c r="E1" s="8" t="s">
        <v>6</v>
      </c>
    </row>
    <row r="2" spans="1:5" ht="15.75" thickBot="1" x14ac:dyDescent="0.3">
      <c r="A2" s="9" t="s">
        <v>7</v>
      </c>
      <c r="B2" s="10">
        <f>+B3+B4</f>
        <v>9855.5552849999985</v>
      </c>
      <c r="C2" s="10">
        <f t="shared" ref="C2:D2" si="0">+C3+C4</f>
        <v>10084.688284999998</v>
      </c>
      <c r="D2" s="10">
        <f t="shared" si="0"/>
        <v>8731.0899793500012</v>
      </c>
      <c r="E2" s="29">
        <f>+D2/C2</f>
        <v>0.86577688200206004</v>
      </c>
    </row>
    <row r="3" spans="1:5" ht="15.75" thickBot="1" x14ac:dyDescent="0.3">
      <c r="A3" s="12" t="s">
        <v>24</v>
      </c>
      <c r="B3" s="13">
        <v>0</v>
      </c>
      <c r="C3" s="13">
        <v>0</v>
      </c>
      <c r="D3" s="13">
        <v>0</v>
      </c>
      <c r="E3" s="14" t="s">
        <v>8</v>
      </c>
    </row>
    <row r="4" spans="1:5" ht="15.75" thickBot="1" x14ac:dyDescent="0.3">
      <c r="A4" s="9" t="s">
        <v>9</v>
      </c>
      <c r="B4" s="10">
        <f>+B5+B6+B7+B8+B9+B10+B11+B12+B13+B14</f>
        <v>9855.5552849999985</v>
      </c>
      <c r="C4" s="10">
        <f t="shared" ref="C4:D4" si="1">+C5+C6+C7+C8+C9+C10+C11+C12+C13+C14</f>
        <v>10084.688284999998</v>
      </c>
      <c r="D4" s="10">
        <f t="shared" si="1"/>
        <v>8731.0899793500012</v>
      </c>
      <c r="E4" s="11">
        <f>+D4/C4</f>
        <v>0.86577688200206004</v>
      </c>
    </row>
    <row r="5" spans="1:5" ht="15.75" thickBot="1" x14ac:dyDescent="0.3">
      <c r="A5" s="15" t="s">
        <v>10</v>
      </c>
      <c r="B5" s="16">
        <f>8345277000/1000000</f>
        <v>8345.277</v>
      </c>
      <c r="C5" s="28">
        <f>8228953306/1000000</f>
        <v>8228.9533059999994</v>
      </c>
      <c r="D5" s="16">
        <f>7527613948.89/1000000</f>
        <v>7527.6139488900008</v>
      </c>
      <c r="E5" s="26">
        <f>+D5/C5</f>
        <v>0.91477174179629517</v>
      </c>
    </row>
    <row r="6" spans="1:5" ht="15.75" thickBot="1" x14ac:dyDescent="0.3">
      <c r="A6" s="17" t="s">
        <v>11</v>
      </c>
      <c r="B6" s="27">
        <f>1023495490/1000000</f>
        <v>1023.49549</v>
      </c>
      <c r="C6" s="18">
        <f>1030249290/1000000</f>
        <v>1030.24929</v>
      </c>
      <c r="D6" s="18">
        <f>788119567.28/1000000</f>
        <v>788.11956727999996</v>
      </c>
      <c r="E6" s="26">
        <f t="shared" ref="E6:E7" si="2">+D6/C6</f>
        <v>0.76497948111179959</v>
      </c>
    </row>
    <row r="7" spans="1:5" ht="15.75" thickBot="1" x14ac:dyDescent="0.3">
      <c r="A7" s="15" t="s">
        <v>12</v>
      </c>
      <c r="B7" s="16">
        <f>79199725/1000000</f>
        <v>79.199725000000001</v>
      </c>
      <c r="C7" s="16">
        <f>74267925/1000000</f>
        <v>74.267925000000005</v>
      </c>
      <c r="D7" s="28">
        <f>50476336.64/1000000</f>
        <v>50.47633664</v>
      </c>
      <c r="E7" s="26">
        <f t="shared" si="2"/>
        <v>0.67965190410261223</v>
      </c>
    </row>
    <row r="8" spans="1:5" ht="15.75" thickBot="1" x14ac:dyDescent="0.3">
      <c r="A8" s="17" t="s">
        <v>13</v>
      </c>
      <c r="B8" s="18">
        <v>0</v>
      </c>
      <c r="C8" s="18">
        <v>0</v>
      </c>
      <c r="D8" s="18">
        <v>0</v>
      </c>
      <c r="E8" s="19" t="s">
        <v>8</v>
      </c>
    </row>
    <row r="9" spans="1:5" ht="15.75" thickBot="1" x14ac:dyDescent="0.3">
      <c r="A9" s="15" t="s">
        <v>14</v>
      </c>
      <c r="B9" s="16">
        <v>0</v>
      </c>
      <c r="C9" s="16">
        <v>0</v>
      </c>
      <c r="D9" s="16">
        <v>0</v>
      </c>
      <c r="E9" s="20" t="s">
        <v>8</v>
      </c>
    </row>
    <row r="10" spans="1:5" ht="15.75" thickBot="1" x14ac:dyDescent="0.3">
      <c r="A10" s="17" t="s">
        <v>15</v>
      </c>
      <c r="B10" s="27">
        <f>220337070/1000000</f>
        <v>220.33707000000001</v>
      </c>
      <c r="C10" s="27">
        <f>329982070/1000000</f>
        <v>329.98207000000002</v>
      </c>
      <c r="D10" s="18">
        <f>259152784.27/1000000</f>
        <v>259.15278426999998</v>
      </c>
      <c r="E10" s="26">
        <f t="shared" ref="E10:E11" si="3">+D10/C10</f>
        <v>0.78535413839303436</v>
      </c>
    </row>
    <row r="11" spans="1:5" ht="15.75" thickBot="1" x14ac:dyDescent="0.3">
      <c r="A11" s="15" t="s">
        <v>16</v>
      </c>
      <c r="B11" s="28">
        <f>187246000/1000000</f>
        <v>187.24600000000001</v>
      </c>
      <c r="C11" s="28">
        <f>208651784/1000000</f>
        <v>208.65178399999999</v>
      </c>
      <c r="D11" s="28">
        <f>105727342.27/1000000</f>
        <v>105.72734226999999</v>
      </c>
      <c r="E11" s="26">
        <f t="shared" si="3"/>
        <v>0.50671669440410827</v>
      </c>
    </row>
    <row r="12" spans="1:5" ht="15.75" thickBot="1" x14ac:dyDescent="0.3">
      <c r="A12" s="17" t="s">
        <v>17</v>
      </c>
      <c r="B12" s="18">
        <v>0</v>
      </c>
      <c r="C12" s="18">
        <v>0</v>
      </c>
      <c r="D12" s="18">
        <v>0</v>
      </c>
      <c r="E12" s="19" t="s">
        <v>8</v>
      </c>
    </row>
    <row r="13" spans="1:5" ht="15.75" thickBot="1" x14ac:dyDescent="0.3">
      <c r="A13" s="15" t="s">
        <v>18</v>
      </c>
      <c r="B13" s="16">
        <v>0</v>
      </c>
      <c r="C13" s="16">
        <v>0</v>
      </c>
      <c r="D13" s="16">
        <v>0</v>
      </c>
      <c r="E13" s="20" t="s">
        <v>8</v>
      </c>
    </row>
    <row r="14" spans="1:5" ht="15.75" thickBot="1" x14ac:dyDescent="0.3">
      <c r="A14" s="17" t="s">
        <v>19</v>
      </c>
      <c r="B14" s="21">
        <v>0</v>
      </c>
      <c r="C14" s="21">
        <f>212583910/1000000</f>
        <v>212.58391</v>
      </c>
      <c r="D14" s="21">
        <v>0</v>
      </c>
      <c r="E14" s="26">
        <f t="shared" ref="E14" si="4">+D14/C14</f>
        <v>0</v>
      </c>
    </row>
    <row r="16" spans="1:5" x14ac:dyDescent="0.25">
      <c r="A16" s="23" t="s">
        <v>20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8" sqref="D18"/>
    </sheetView>
  </sheetViews>
  <sheetFormatPr baseColWidth="10" defaultRowHeight="15" x14ac:dyDescent="0.25"/>
  <cols>
    <col min="1" max="1" width="22" bestFit="1" customWidth="1"/>
    <col min="2" max="4" width="13.42578125" customWidth="1"/>
  </cols>
  <sheetData>
    <row r="1" spans="1:5" ht="26.25" thickBot="1" x14ac:dyDescent="0.3">
      <c r="A1" s="5" t="s">
        <v>5</v>
      </c>
      <c r="B1" s="6" t="s">
        <v>21</v>
      </c>
      <c r="C1" s="7" t="s">
        <v>22</v>
      </c>
      <c r="D1" s="6" t="s">
        <v>23</v>
      </c>
      <c r="E1" s="8" t="s">
        <v>6</v>
      </c>
    </row>
    <row r="2" spans="1:5" ht="15.75" thickBot="1" x14ac:dyDescent="0.3">
      <c r="A2" s="9" t="s">
        <v>7</v>
      </c>
      <c r="B2" s="10">
        <f>+B3+B4</f>
        <v>11471.880999999999</v>
      </c>
      <c r="C2" s="10">
        <f t="shared" ref="C2:D2" si="0">+C3+C4</f>
        <v>10740.968852</v>
      </c>
      <c r="D2" s="10">
        <f t="shared" si="0"/>
        <v>9842.7109436600003</v>
      </c>
      <c r="E2" s="11">
        <f>+D2/C2</f>
        <v>0.91637086740338691</v>
      </c>
    </row>
    <row r="3" spans="1:5" ht="15.75" thickBot="1" x14ac:dyDescent="0.3">
      <c r="A3" s="12" t="s">
        <v>24</v>
      </c>
      <c r="B3" s="13">
        <v>0</v>
      </c>
      <c r="C3" s="13">
        <v>0</v>
      </c>
      <c r="D3" s="13">
        <v>0</v>
      </c>
      <c r="E3" s="14" t="s">
        <v>8</v>
      </c>
    </row>
    <row r="4" spans="1:5" ht="15.75" thickBot="1" x14ac:dyDescent="0.3">
      <c r="A4" s="9" t="s">
        <v>9</v>
      </c>
      <c r="B4" s="10">
        <f>+B5+B6+B7+B8+B9+B10+B11+B12+B13+B14</f>
        <v>11471.880999999999</v>
      </c>
      <c r="C4" s="10">
        <f t="shared" ref="C4:D4" si="1">+C5+C6+C7+C8+C9+C10+C11+C12+C13+C14</f>
        <v>10740.968852</v>
      </c>
      <c r="D4" s="10">
        <f t="shared" si="1"/>
        <v>9842.7109436600003</v>
      </c>
      <c r="E4" s="11">
        <f>+D4/C4</f>
        <v>0.91637086740338691</v>
      </c>
    </row>
    <row r="5" spans="1:5" ht="15.75" thickBot="1" x14ac:dyDescent="0.3">
      <c r="A5" s="15" t="s">
        <v>10</v>
      </c>
      <c r="B5" s="28">
        <f>9297872000/1000000</f>
        <v>9297.8719999999994</v>
      </c>
      <c r="C5" s="28">
        <f>8579375411/1000000</f>
        <v>8579.3754110000009</v>
      </c>
      <c r="D5" s="16">
        <f>8092653556.1/1000000</f>
        <v>8092.6535561000001</v>
      </c>
      <c r="E5" s="26">
        <f>+D5/C5</f>
        <v>0.94326838125349388</v>
      </c>
    </row>
    <row r="6" spans="1:5" ht="15.75" thickBot="1" x14ac:dyDescent="0.3">
      <c r="A6" s="17" t="s">
        <v>11</v>
      </c>
      <c r="B6" s="18">
        <f>1420150000/1000000</f>
        <v>1420.15</v>
      </c>
      <c r="C6" s="27">
        <f>1449321205/1000000</f>
        <v>1449.321205</v>
      </c>
      <c r="D6" s="18">
        <f>1174518868.73/1000000</f>
        <v>1174.5188687300001</v>
      </c>
      <c r="E6" s="26">
        <f t="shared" ref="E6:E7" si="2">+D6/C6</f>
        <v>0.81039238553747661</v>
      </c>
    </row>
    <row r="7" spans="1:5" ht="15.75" thickBot="1" x14ac:dyDescent="0.3">
      <c r="A7" s="15" t="s">
        <v>12</v>
      </c>
      <c r="B7" s="28">
        <f>100332000/1000000</f>
        <v>100.33199999999999</v>
      </c>
      <c r="C7" s="16">
        <f>64025000/1000000</f>
        <v>64.025000000000006</v>
      </c>
      <c r="D7" s="16">
        <f>44683006.23/1000000</f>
        <v>44.683006229999997</v>
      </c>
      <c r="E7" s="26">
        <f t="shared" si="2"/>
        <v>0.6978993554080436</v>
      </c>
    </row>
    <row r="8" spans="1:5" ht="15.75" thickBot="1" x14ac:dyDescent="0.3">
      <c r="A8" s="17" t="s">
        <v>13</v>
      </c>
      <c r="B8" s="18">
        <v>0</v>
      </c>
      <c r="C8" s="18">
        <v>0</v>
      </c>
      <c r="D8" s="18">
        <v>0</v>
      </c>
      <c r="E8" s="19" t="s">
        <v>8</v>
      </c>
    </row>
    <row r="9" spans="1:5" ht="15.75" thickBot="1" x14ac:dyDescent="0.3">
      <c r="A9" s="15" t="s">
        <v>14</v>
      </c>
      <c r="B9" s="16">
        <v>0</v>
      </c>
      <c r="C9" s="16">
        <v>0</v>
      </c>
      <c r="D9" s="16">
        <v>0</v>
      </c>
      <c r="E9" s="20" t="s">
        <v>8</v>
      </c>
    </row>
    <row r="10" spans="1:5" ht="15.75" thickBot="1" x14ac:dyDescent="0.3">
      <c r="A10" s="17" t="s">
        <v>15</v>
      </c>
      <c r="B10" s="18">
        <f>441435000/1000000</f>
        <v>441.435</v>
      </c>
      <c r="C10" s="27">
        <f>426435000/1000000</f>
        <v>426.435</v>
      </c>
      <c r="D10" s="18">
        <f>320634474.95/1000000</f>
        <v>320.63447494999997</v>
      </c>
      <c r="E10" s="26">
        <f t="shared" ref="E10:E11" si="3">+D10/C10</f>
        <v>0.75189530631866519</v>
      </c>
    </row>
    <row r="11" spans="1:5" ht="15.75" thickBot="1" x14ac:dyDescent="0.3">
      <c r="A11" s="15" t="s">
        <v>16</v>
      </c>
      <c r="B11" s="28">
        <f>212092000/1000000</f>
        <v>212.09200000000001</v>
      </c>
      <c r="C11" s="28">
        <f>221812236/1000000</f>
        <v>221.81223600000001</v>
      </c>
      <c r="D11" s="28">
        <f>210221037.65/1000000</f>
        <v>210.22103765</v>
      </c>
      <c r="E11" s="26">
        <f t="shared" si="3"/>
        <v>0.94774319686313424</v>
      </c>
    </row>
    <row r="12" spans="1:5" ht="15.75" thickBot="1" x14ac:dyDescent="0.3">
      <c r="A12" s="17" t="s">
        <v>17</v>
      </c>
      <c r="B12" s="18">
        <v>0</v>
      </c>
      <c r="C12" s="18">
        <v>0</v>
      </c>
      <c r="D12" s="18">
        <v>0</v>
      </c>
      <c r="E12" s="19" t="s">
        <v>8</v>
      </c>
    </row>
    <row r="13" spans="1:5" ht="15.75" thickBot="1" x14ac:dyDescent="0.3">
      <c r="A13" s="15" t="s">
        <v>18</v>
      </c>
      <c r="B13" s="16">
        <v>0</v>
      </c>
      <c r="C13" s="16">
        <v>0</v>
      </c>
      <c r="D13" s="16">
        <v>0</v>
      </c>
      <c r="E13" s="20" t="s">
        <v>8</v>
      </c>
    </row>
    <row r="14" spans="1:5" ht="15.75" thickBot="1" x14ac:dyDescent="0.3">
      <c r="A14" s="17" t="s">
        <v>19</v>
      </c>
      <c r="B14" s="21">
        <v>0</v>
      </c>
      <c r="C14" s="21">
        <v>0</v>
      </c>
      <c r="D14" s="21">
        <v>0</v>
      </c>
      <c r="E14" s="22" t="s">
        <v>8</v>
      </c>
    </row>
    <row r="16" spans="1:5" x14ac:dyDescent="0.25">
      <c r="A16" s="23" t="s">
        <v>20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7" sqref="D17"/>
    </sheetView>
  </sheetViews>
  <sheetFormatPr baseColWidth="10" defaultRowHeight="15" x14ac:dyDescent="0.25"/>
  <cols>
    <col min="1" max="1" width="22" bestFit="1" customWidth="1"/>
    <col min="2" max="4" width="13.42578125" customWidth="1"/>
  </cols>
  <sheetData>
    <row r="1" spans="1:5" ht="26.25" thickBot="1" x14ac:dyDescent="0.3">
      <c r="A1" s="5" t="s">
        <v>5</v>
      </c>
      <c r="B1" s="6" t="s">
        <v>21</v>
      </c>
      <c r="C1" s="7" t="s">
        <v>22</v>
      </c>
      <c r="D1" s="6" t="s">
        <v>23</v>
      </c>
      <c r="E1" s="8" t="s">
        <v>6</v>
      </c>
    </row>
    <row r="2" spans="1:5" ht="15.75" thickBot="1" x14ac:dyDescent="0.3">
      <c r="A2" s="9" t="s">
        <v>7</v>
      </c>
      <c r="B2" s="10">
        <f>+B3+B4</f>
        <v>11325.587195</v>
      </c>
      <c r="C2" s="10">
        <f t="shared" ref="C2:D2" si="0">+C3+C4</f>
        <v>10239.295588200001</v>
      </c>
      <c r="D2" s="10">
        <f t="shared" si="0"/>
        <v>9338.3435419099987</v>
      </c>
      <c r="E2" s="11">
        <f>+D2/C2</f>
        <v>0.912010348902489</v>
      </c>
    </row>
    <row r="3" spans="1:5" ht="15.75" thickBot="1" x14ac:dyDescent="0.3">
      <c r="A3" s="12" t="s">
        <v>24</v>
      </c>
      <c r="B3" s="13">
        <v>0</v>
      </c>
      <c r="C3" s="13">
        <v>0</v>
      </c>
      <c r="D3" s="13">
        <v>0</v>
      </c>
      <c r="E3" s="14" t="s">
        <v>8</v>
      </c>
    </row>
    <row r="4" spans="1:5" ht="15.75" thickBot="1" x14ac:dyDescent="0.3">
      <c r="A4" s="9" t="s">
        <v>9</v>
      </c>
      <c r="B4" s="10">
        <f>+B5+B6+B7+B8+B9+B10+B11+B12+B13+B14</f>
        <v>11325.587195</v>
      </c>
      <c r="C4" s="10">
        <f t="shared" ref="C4:D4" si="1">+C5+C6+C7+C8+C9+C10+C11+C12+C13+C14</f>
        <v>10239.295588200001</v>
      </c>
      <c r="D4" s="10">
        <f t="shared" si="1"/>
        <v>9338.3435419099987</v>
      </c>
      <c r="E4" s="11">
        <f>+D4/C4</f>
        <v>0.912010348902489</v>
      </c>
    </row>
    <row r="5" spans="1:5" ht="15.75" thickBot="1" x14ac:dyDescent="0.3">
      <c r="A5" s="15" t="s">
        <v>10</v>
      </c>
      <c r="B5" s="16">
        <f>9908319000/1000000</f>
        <v>9908.3189999999995</v>
      </c>
      <c r="C5" s="16">
        <f>8892388617.2/1000000</f>
        <v>8892.3886172000002</v>
      </c>
      <c r="D5" s="16">
        <f>8103162589.55/1000000</f>
        <v>8103.1625895500001</v>
      </c>
      <c r="E5" s="26">
        <f>+D5/C5</f>
        <v>0.91124701566422228</v>
      </c>
    </row>
    <row r="6" spans="1:5" ht="15.75" thickBot="1" x14ac:dyDescent="0.3">
      <c r="A6" s="17" t="s">
        <v>11</v>
      </c>
      <c r="B6" s="18">
        <f>1006874402/1000000</f>
        <v>1006.874402</v>
      </c>
      <c r="C6" s="18">
        <f>1015374402/1000000</f>
        <v>1015.374402</v>
      </c>
      <c r="D6" s="18">
        <f>931877004.54/1000000</f>
        <v>931.87700453999992</v>
      </c>
      <c r="E6" s="26">
        <f t="shared" ref="E6:E7" si="2">+D6/C6</f>
        <v>0.91776688746975121</v>
      </c>
    </row>
    <row r="7" spans="1:5" ht="15.75" thickBot="1" x14ac:dyDescent="0.3">
      <c r="A7" s="15" t="s">
        <v>12</v>
      </c>
      <c r="B7" s="16">
        <f>65233793/1000000</f>
        <v>65.233793000000006</v>
      </c>
      <c r="C7" s="16">
        <f>43233793/1000000</f>
        <v>43.233792999999999</v>
      </c>
      <c r="D7" s="16">
        <f>31675371.42/1000000</f>
        <v>31.675371420000001</v>
      </c>
      <c r="E7" s="26">
        <f t="shared" si="2"/>
        <v>0.7326530758011448</v>
      </c>
    </row>
    <row r="8" spans="1:5" ht="15.75" thickBot="1" x14ac:dyDescent="0.3">
      <c r="A8" s="17" t="s">
        <v>13</v>
      </c>
      <c r="B8" s="18">
        <v>0</v>
      </c>
      <c r="C8" s="18">
        <v>0</v>
      </c>
      <c r="D8" s="18">
        <v>0</v>
      </c>
      <c r="E8" s="19" t="s">
        <v>8</v>
      </c>
    </row>
    <row r="9" spans="1:5" ht="15.75" thickBot="1" x14ac:dyDescent="0.3">
      <c r="A9" s="15" t="s">
        <v>14</v>
      </c>
      <c r="B9" s="16">
        <v>0</v>
      </c>
      <c r="C9" s="16">
        <v>0</v>
      </c>
      <c r="D9" s="16">
        <v>0</v>
      </c>
      <c r="E9" s="20" t="s">
        <v>8</v>
      </c>
    </row>
    <row r="10" spans="1:5" ht="15.75" thickBot="1" x14ac:dyDescent="0.3">
      <c r="A10" s="17" t="s">
        <v>15</v>
      </c>
      <c r="B10" s="18">
        <f>47031000/1000000</f>
        <v>47.030999999999999</v>
      </c>
      <c r="C10" s="27">
        <f>52031000/1000000</f>
        <v>52.030999999999999</v>
      </c>
      <c r="D10" s="18">
        <f>48629558.73/1000000</f>
        <v>48.629558729999999</v>
      </c>
      <c r="E10" s="26">
        <f t="shared" ref="E10:E11" si="3">+D10/C10</f>
        <v>0.93462664046433863</v>
      </c>
    </row>
    <row r="11" spans="1:5" ht="15.75" thickBot="1" x14ac:dyDescent="0.3">
      <c r="A11" s="15" t="s">
        <v>16</v>
      </c>
      <c r="B11" s="28">
        <f>298129000/1000000</f>
        <v>298.12900000000002</v>
      </c>
      <c r="C11" s="28">
        <f>236267776/1000000</f>
        <v>236.267776</v>
      </c>
      <c r="D11" s="28">
        <f>222999017.67/1000000</f>
        <v>222.99901767</v>
      </c>
      <c r="E11" s="26">
        <f t="shared" si="3"/>
        <v>0.94384016917313351</v>
      </c>
    </row>
    <row r="12" spans="1:5" ht="15.75" thickBot="1" x14ac:dyDescent="0.3">
      <c r="A12" s="17" t="s">
        <v>17</v>
      </c>
      <c r="B12" s="18">
        <v>0</v>
      </c>
      <c r="C12" s="18">
        <v>0</v>
      </c>
      <c r="D12" s="18">
        <v>0</v>
      </c>
      <c r="E12" s="19" t="s">
        <v>8</v>
      </c>
    </row>
    <row r="13" spans="1:5" ht="15.75" thickBot="1" x14ac:dyDescent="0.3">
      <c r="A13" s="15" t="s">
        <v>18</v>
      </c>
      <c r="B13" s="16">
        <v>0</v>
      </c>
      <c r="C13" s="16">
        <v>0</v>
      </c>
      <c r="D13" s="16">
        <v>0</v>
      </c>
      <c r="E13" s="20" t="s">
        <v>8</v>
      </c>
    </row>
    <row r="14" spans="1:5" ht="15.75" thickBot="1" x14ac:dyDescent="0.3">
      <c r="A14" s="17" t="s">
        <v>19</v>
      </c>
      <c r="B14" s="21">
        <v>0</v>
      </c>
      <c r="C14" s="21">
        <v>0</v>
      </c>
      <c r="D14" s="21">
        <v>0</v>
      </c>
      <c r="E14" s="22" t="s">
        <v>8</v>
      </c>
    </row>
    <row r="16" spans="1:5" x14ac:dyDescent="0.25">
      <c r="A16" s="23" t="s">
        <v>20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8" sqref="B8"/>
    </sheetView>
  </sheetViews>
  <sheetFormatPr baseColWidth="10" defaultRowHeight="15" x14ac:dyDescent="0.25"/>
  <cols>
    <col min="1" max="1" width="22" bestFit="1" customWidth="1"/>
    <col min="2" max="4" width="13.42578125" customWidth="1"/>
  </cols>
  <sheetData>
    <row r="1" spans="1:5" ht="26.25" thickBot="1" x14ac:dyDescent="0.3">
      <c r="A1" s="5" t="s">
        <v>5</v>
      </c>
      <c r="B1" s="6" t="s">
        <v>21</v>
      </c>
      <c r="C1" s="7" t="s">
        <v>22</v>
      </c>
      <c r="D1" s="6" t="s">
        <v>23</v>
      </c>
      <c r="E1" s="8" t="s">
        <v>6</v>
      </c>
    </row>
    <row r="2" spans="1:5" ht="15.75" thickBot="1" x14ac:dyDescent="0.3">
      <c r="A2" s="9" t="s">
        <v>7</v>
      </c>
      <c r="B2" s="10">
        <f>+B3+B4</f>
        <v>12282.347304000001</v>
      </c>
      <c r="C2" s="10">
        <f t="shared" ref="C2:D2" si="0">+C3+C4</f>
        <v>11335.094083</v>
      </c>
      <c r="D2" s="10">
        <f t="shared" si="0"/>
        <v>10481.43877379</v>
      </c>
      <c r="E2" s="11">
        <f>+D2/C2</f>
        <v>0.92468917302677844</v>
      </c>
    </row>
    <row r="3" spans="1:5" ht="15.75" thickBot="1" x14ac:dyDescent="0.3">
      <c r="A3" s="12" t="s">
        <v>24</v>
      </c>
      <c r="B3" s="13">
        <v>0</v>
      </c>
      <c r="C3" s="13">
        <v>0</v>
      </c>
      <c r="D3" s="13">
        <v>0</v>
      </c>
      <c r="E3" s="14" t="s">
        <v>8</v>
      </c>
    </row>
    <row r="4" spans="1:5" ht="15.75" thickBot="1" x14ac:dyDescent="0.3">
      <c r="A4" s="9" t="s">
        <v>9</v>
      </c>
      <c r="B4" s="10">
        <f>+B5+B6+B7+B8+B9+B10+B11+B12+B13+B14</f>
        <v>12282.347304000001</v>
      </c>
      <c r="C4" s="10">
        <f t="shared" ref="C4:D4" si="1">+C5+C6+C7+C8+C9+C10+C11+C12+C13+C14</f>
        <v>11335.094083</v>
      </c>
      <c r="D4" s="10">
        <f t="shared" si="1"/>
        <v>10481.43877379</v>
      </c>
      <c r="E4" s="11">
        <f>+D4/C4</f>
        <v>0.92468917302677844</v>
      </c>
    </row>
    <row r="5" spans="1:5" ht="15.75" thickBot="1" x14ac:dyDescent="0.3">
      <c r="A5" s="15" t="s">
        <v>10</v>
      </c>
      <c r="B5" s="16">
        <v>9954.4900639999996</v>
      </c>
      <c r="C5" s="16">
        <v>9591.5989649999992</v>
      </c>
      <c r="D5" s="16">
        <v>9084.53696915</v>
      </c>
      <c r="E5" s="26">
        <f>+D5/C5</f>
        <v>0.94713477933134171</v>
      </c>
    </row>
    <row r="6" spans="1:5" ht="15.75" thickBot="1" x14ac:dyDescent="0.3">
      <c r="A6" s="17" t="s">
        <v>11</v>
      </c>
      <c r="B6" s="18">
        <v>1196.08682</v>
      </c>
      <c r="C6" s="18">
        <v>1242.1384479999999</v>
      </c>
      <c r="D6" s="18">
        <v>1054.6653889500001</v>
      </c>
      <c r="E6" s="26">
        <f t="shared" ref="E6:E7" si="2">+D6/C6</f>
        <v>0.84907233219303757</v>
      </c>
    </row>
    <row r="7" spans="1:5" ht="15.75" thickBot="1" x14ac:dyDescent="0.3">
      <c r="A7" s="15" t="s">
        <v>12</v>
      </c>
      <c r="B7" s="16">
        <v>56.348379999999999</v>
      </c>
      <c r="C7" s="16">
        <v>50.848379999999999</v>
      </c>
      <c r="D7" s="16">
        <v>27.257232269999999</v>
      </c>
      <c r="E7" s="26">
        <f t="shared" si="2"/>
        <v>0.53604917737792235</v>
      </c>
    </row>
    <row r="8" spans="1:5" ht="15.75" thickBot="1" x14ac:dyDescent="0.3">
      <c r="A8" s="17" t="s">
        <v>13</v>
      </c>
      <c r="B8" s="18">
        <v>0</v>
      </c>
      <c r="C8" s="18">
        <v>0</v>
      </c>
      <c r="D8" s="18">
        <v>0</v>
      </c>
      <c r="E8" s="19" t="s">
        <v>8</v>
      </c>
    </row>
    <row r="9" spans="1:5" ht="15.75" thickBot="1" x14ac:dyDescent="0.3">
      <c r="A9" s="15" t="s">
        <v>14</v>
      </c>
      <c r="B9" s="16">
        <v>0</v>
      </c>
      <c r="C9" s="16">
        <v>0</v>
      </c>
      <c r="D9" s="16">
        <v>0</v>
      </c>
      <c r="E9" s="20" t="s">
        <v>8</v>
      </c>
    </row>
    <row r="10" spans="1:5" ht="15.75" thickBot="1" x14ac:dyDescent="0.3">
      <c r="A10" s="17" t="s">
        <v>15</v>
      </c>
      <c r="B10" s="18">
        <v>744.45230000000004</v>
      </c>
      <c r="C10" s="18">
        <v>139.45230000000001</v>
      </c>
      <c r="D10" s="18">
        <v>124.20563589</v>
      </c>
      <c r="E10" s="26">
        <f t="shared" ref="E10:E11" si="3">+D10/C10</f>
        <v>0.8906675321238875</v>
      </c>
    </row>
    <row r="11" spans="1:5" ht="15.75" thickBot="1" x14ac:dyDescent="0.3">
      <c r="A11" s="15" t="s">
        <v>16</v>
      </c>
      <c r="B11" s="16">
        <v>330.96974</v>
      </c>
      <c r="C11" s="16">
        <v>311.05599000000001</v>
      </c>
      <c r="D11" s="16">
        <v>190.77354753</v>
      </c>
      <c r="E11" s="26">
        <f t="shared" si="3"/>
        <v>0.61330935157365074</v>
      </c>
    </row>
    <row r="12" spans="1:5" ht="15.75" thickBot="1" x14ac:dyDescent="0.3">
      <c r="A12" s="17" t="s">
        <v>17</v>
      </c>
      <c r="B12" s="18">
        <v>0</v>
      </c>
      <c r="C12" s="18">
        <v>0</v>
      </c>
      <c r="D12" s="18">
        <v>0</v>
      </c>
      <c r="E12" s="19" t="s">
        <v>8</v>
      </c>
    </row>
    <row r="13" spans="1:5" ht="15.75" thickBot="1" x14ac:dyDescent="0.3">
      <c r="A13" s="15" t="s">
        <v>18</v>
      </c>
      <c r="B13" s="16">
        <v>0</v>
      </c>
      <c r="C13" s="16">
        <v>0</v>
      </c>
      <c r="D13" s="16">
        <v>0</v>
      </c>
      <c r="E13" s="20" t="s">
        <v>8</v>
      </c>
    </row>
    <row r="14" spans="1:5" ht="15.75" thickBot="1" x14ac:dyDescent="0.3">
      <c r="A14" s="17" t="s">
        <v>19</v>
      </c>
      <c r="B14" s="21">
        <v>0</v>
      </c>
      <c r="C14" s="21">
        <v>0</v>
      </c>
      <c r="D14" s="21">
        <v>0</v>
      </c>
      <c r="E14" s="22" t="s">
        <v>8</v>
      </c>
    </row>
    <row r="16" spans="1:5" x14ac:dyDescent="0.25">
      <c r="A16" s="23" t="s">
        <v>20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TOTALES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Yorleny Elizondo Leiva</dc:creator>
  <cp:lastModifiedBy>Yorleny Elizondo Leiva</cp:lastModifiedBy>
  <dcterms:created xsi:type="dcterms:W3CDTF">2016-02-24T14:21:25Z</dcterms:created>
  <dcterms:modified xsi:type="dcterms:W3CDTF">2021-10-20T22:07:23Z</dcterms:modified>
</cp:coreProperties>
</file>